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3.xml" ContentType="application/vnd.ms-office.chartstyle+xml"/>
  <Override PartName="/xl/charts/style1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Projections" sheetId="2" state="visible" r:id="rId4"/>
    <sheet name="Unit Economics" sheetId="3" state="visible" r:id="rId5"/>
    <sheet name="Funnel" sheetId="4" state="visible" r:id="rId6"/>
    <sheet name="Scenario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<sst xmlns="http://schemas.openxmlformats.org/spreadsheetml/2006/main" count="137" uniqueCount="94">
  <si>
    <t xml:space="preserve">TCL Universal Bridge — Model Assumptions</t>
  </si>
  <si>
    <t xml:space="preserve">Blue = input (change for scenarios)   ·   Black = formula   ·   Green = cross-sheet link</t>
  </si>
  <si>
    <t xml:space="preserve">PRICING — annual recurring ($/unit/yr)</t>
  </si>
  <si>
    <t xml:space="preserve">Maker (DIY self-serve)</t>
  </si>
  <si>
    <t xml:space="preserve">Pro (Single-Site)</t>
  </si>
  <si>
    <t xml:space="preserve">Dealer Toolkit (per account)</t>
  </si>
  <si>
    <t xml:space="preserve">Enterprise / Hospitality (per org)</t>
  </si>
  <si>
    <t xml:space="preserve">SETUP — one-time ($)</t>
  </si>
  <si>
    <t xml:space="preserve">Pro setup</t>
  </si>
  <si>
    <t xml:space="preserve">Dealer setup</t>
  </si>
  <si>
    <t xml:space="preserve">Enterprise setup</t>
  </si>
  <si>
    <t xml:space="preserve">ANNUAL CHURN (logo %)</t>
  </si>
  <si>
    <t xml:space="preserve">Maker</t>
  </si>
  <si>
    <t xml:space="preserve">Pro</t>
  </si>
  <si>
    <t xml:space="preserve">Dealer</t>
  </si>
  <si>
    <t xml:space="preserve">Enterprise</t>
  </si>
  <si>
    <t xml:space="preserve">CAC — blended acquisition cost ($)</t>
  </si>
  <si>
    <t xml:space="preserve">OTHER</t>
  </si>
  <si>
    <t xml:space="preserve">Gross margin (%)</t>
  </si>
  <si>
    <t xml:space="preserve">Deployments per dealer (avg)</t>
  </si>
  <si>
    <t xml:space="preserve">Units per enterprise org (avg)</t>
  </si>
  <si>
    <t xml:space="preserve">Scenario multiplier (sensitivity)</t>
  </si>
  <si>
    <t xml:space="preserve">END-OF-YEAR ACTIVE COUNTS (plan inputs)</t>
  </si>
  <si>
    <t xml:space="preserve">Y1</t>
  </si>
  <si>
    <t xml:space="preserve">Y2</t>
  </si>
  <si>
    <t xml:space="preserve">Y3</t>
  </si>
  <si>
    <t xml:space="preserve">Y4</t>
  </si>
  <si>
    <t xml:space="preserve">Y5</t>
  </si>
  <si>
    <t xml:space="preserve">Maker subscribers</t>
  </si>
  <si>
    <t xml:space="preserve">Pro subscribers</t>
  </si>
  <si>
    <t xml:space="preserve">Dealer accounts</t>
  </si>
  <si>
    <t xml:space="preserve">Enterprise orgs</t>
  </si>
  <si>
    <t xml:space="preserve">OPEX PLAN ($/yr)</t>
  </si>
  <si>
    <t xml:space="preserve">R&amp;D / Engineering / Certifications</t>
  </si>
  <si>
    <t xml:space="preserve">Sales &amp; Marketing</t>
  </si>
  <si>
    <t xml:space="preserve">G&amp;A / Legal-IP / Success</t>
  </si>
  <si>
    <t xml:space="preserve">COMPATIBILITY ORACLE FUNNEL</t>
  </si>
  <si>
    <t xml:space="preserve">Free compatibility checks / yr</t>
  </si>
  <si>
    <t xml:space="preserve">Check → email capture (%)</t>
  </si>
  <si>
    <t xml:space="preserve">Email → trial (%)</t>
  </si>
  <si>
    <t xml:space="preserve">Trial → paid (%)</t>
  </si>
  <si>
    <t xml:space="preserve">TCL Universal Bridge — 5-Year Projections (base case)</t>
  </si>
  <si>
    <t xml:space="preserve">Recurring is annualized; Revenue includes one-time setup fees. Scenario multiplier scales unit counts.</t>
  </si>
  <si>
    <t xml:space="preserve">($ unless noted)</t>
  </si>
  <si>
    <t xml:space="preserve">Dealer deployments</t>
  </si>
  <si>
    <t xml:space="preserve">Enterprise units</t>
  </si>
  <si>
    <t xml:space="preserve">TOTAL PAID UNITS</t>
  </si>
  <si>
    <t xml:space="preserve">Paying accounts</t>
  </si>
  <si>
    <t xml:space="preserve">100k target</t>
  </si>
  <si>
    <t xml:space="preserve">ANNUAL RECURRING REVENUE ($)</t>
  </si>
  <si>
    <t xml:space="preserve">ARR — Maker</t>
  </si>
  <si>
    <t xml:space="preserve">ARR — Pro</t>
  </si>
  <si>
    <t xml:space="preserve">ARR — Dealer</t>
  </si>
  <si>
    <t xml:space="preserve">ARR — Enterprise</t>
  </si>
  <si>
    <t xml:space="preserve">Total ARR</t>
  </si>
  <si>
    <t xml:space="preserve">P&amp;L ($)</t>
  </si>
  <si>
    <t xml:space="preserve">Subscription revenue (mid-yr)</t>
  </si>
  <si>
    <t xml:space="preserve">Setup revenue (one-time)</t>
  </si>
  <si>
    <t xml:space="preserve">Total revenue</t>
  </si>
  <si>
    <t xml:space="preserve">COGS</t>
  </si>
  <si>
    <t xml:space="preserve">Gross profit</t>
  </si>
  <si>
    <t xml:space="preserve">R&amp;D</t>
  </si>
  <si>
    <t xml:space="preserve">G&amp;A</t>
  </si>
  <si>
    <t xml:space="preserve">Total opex</t>
  </si>
  <si>
    <t xml:space="preserve">EBITDA</t>
  </si>
  <si>
    <t xml:space="preserve">EBITDA margin</t>
  </si>
  <si>
    <t xml:space="preserve">Cumulative operating cash</t>
  </si>
  <si>
    <t xml:space="preserve">Unit Economics by Tier</t>
  </si>
  <si>
    <t xml:space="preserve">Tier</t>
  </si>
  <si>
    <t xml:space="preserve">ARPU/yr</t>
  </si>
  <si>
    <t xml:space="preserve">Churn</t>
  </si>
  <si>
    <t xml:space="preserve">Lifetime (yr)</t>
  </si>
  <si>
    <t xml:space="preserve">LTV</t>
  </si>
  <si>
    <t xml:space="preserve">CAC</t>
  </si>
  <si>
    <t xml:space="preserve">LTV:CAC</t>
  </si>
  <si>
    <t xml:space="preserve">Payback (mo)</t>
  </si>
  <si>
    <t xml:space="preserve">LTV = ARPU × gross margin × (1/churn).  Payback = CAC ÷ monthly gross profit per unit.</t>
  </si>
  <si>
    <t xml:space="preserve">Compatibility Oracle — Acquisition Funnel</t>
  </si>
  <si>
    <t xml:space="preserve">Free checks / yr</t>
  </si>
  <si>
    <t xml:space="preserve">→ Emails captured</t>
  </si>
  <si>
    <t xml:space="preserve">→ Trials</t>
  </si>
  <si>
    <t xml:space="preserve">→ New paid (Maker)</t>
  </si>
  <si>
    <t xml:space="preserve">Scenarios — Year-5 Sensitivity</t>
  </si>
  <si>
    <t xml:space="preserve">Illustrative ±40% on the unit ramp. Adjust the Scenario multiplier on Assumptions for live cases.</t>
  </si>
  <si>
    <t xml:space="preserve">Case</t>
  </si>
  <si>
    <t xml:space="preserve">Mult</t>
  </si>
  <si>
    <t xml:space="preserve">Y5 paid units</t>
  </si>
  <si>
    <t xml:space="preserve">Y5 ARR</t>
  </si>
  <si>
    <t xml:space="preserve">Y5 EBITDA</t>
  </si>
  <si>
    <t xml:space="preserve">Conservative</t>
  </si>
  <si>
    <t xml:space="preserve">Base</t>
  </si>
  <si>
    <t xml:space="preserve">Aggressive</t>
  </si>
  <si>
    <t xml:space="preserve">Funding: $3.5M seed (illustrative). Base plan peak unfunded cash need &lt; $0.6M; raise funds acceleration + vendor certifications, not survival.</t>
  </si>
  <si>
    <t xml:space="preserve">Not an offer of securities. Projections are illustrative, assumption-driven, and not a guarantee of results.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</si>
</sst>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&quot;($&quot;#,##0\);\-"/>
    <numFmt numFmtId="166" formatCode="0.0%"/>
    <numFmt numFmtId="167" formatCode="#,##0;\(#,##0\);\-"/>
    <numFmt numFmtId="168" formatCode="0.0\x"/>
    <numFmt numFmtId="169" formatCode="#,##0"/>
    <numFmt numFmtId="170" formatCode="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57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sz val="11"/>
      <color rgb="FF888888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9"/>
      <color rgb="FF99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D5E8F0"/>
        <bgColor rgb="FFD9D9D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008000"/>
      <rgbColor rgb="FF000080"/>
      <rgbColor rgb="FF666666"/>
      <rgbColor rgb="FF800080"/>
      <rgbColor rgb="FF008080"/>
      <rgbColor rgb="FFC0C0C0"/>
      <rgbColor rgb="FF878787"/>
      <rgbColor rgb="FF9999FF"/>
      <rgbColor rgb="FFBE4B48"/>
      <rgbColor rgb="FFFFFFCC"/>
      <rgbColor rgb="FFD5E8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BBB59"/>
      <rgbColor rgb="FFFFCC00"/>
      <rgbColor rgb="FFFF9900"/>
      <rgbColor rgb="FFFF6600"/>
      <rgbColor rgb="FF8064A2"/>
      <rgbColor rgb="FF888888"/>
      <rgbColor rgb="FF003366"/>
      <rgbColor rgb="FF4F81BD"/>
      <rgbColor rgb="FF003300"/>
      <rgbColor rgb="FF333300"/>
      <rgbColor rgb="FF993300"/>
      <rgbColor rgb="FFC0504D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Path to 100,000 Paid Units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Projections!A11</c:f>
              <c:strCache>
                <c:ptCount val="1"/>
                <c:pt idx="0">
                  <c:v>TOTAL PAID UNITS</c:v>
                </c:pt>
              </c:strCache>
            </c:strRef>
          </c:tx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Projections!$B$11:$F$11</c:f>
              <c:numCache>
                <c:formatCode>#,##0;\(#,##0\);\-</c:formatCode>
                <c:ptCount val="5"/>
                <c:pt idx="0">
                  <c:v>9100</c:v>
                </c:pt>
                <c:pt idx="1">
                  <c:v>42300</c:v>
                </c:pt>
                <c:pt idx="2">
                  <c:v>90800</c:v>
                </c:pt>
                <c:pt idx="3">
                  <c:v>140000</c:v>
                </c:pt>
                <c:pt idx="4">
                  <c:v>192200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Projections!A13</c:f>
              <c:strCache>
                <c:ptCount val="1"/>
                <c:pt idx="0">
                  <c:v>100k target</c:v>
                </c:pt>
              </c:strCache>
            </c:strRef>
          </c:tx>
          <c:spPr>
            <a:solidFill>
              <a:srgbClr val="BE4B48"/>
            </a:solidFill>
            <a:ln w="1260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Projections!$B$13:$F$13</c:f>
              <c:numCache>
                <c:formatCode>#,##0;\(#,##0\);\-</c:formatCode>
                <c:ptCount val="5"/>
                <c:pt idx="0">
                  <c:v>100000</c:v>
                </c:pt>
                <c:pt idx="1">
                  <c:v>100000</c:v>
                </c:pt>
                <c:pt idx="2">
                  <c:v>100000</c:v>
                </c:pt>
                <c:pt idx="3">
                  <c:v>100000</c:v>
                </c:pt>
                <c:pt idx="4">
                  <c:v>100000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14520216"/>
        <c:axId val="48737767"/>
      </c:lineChart>
      <c:catAx>
        <c:axId val="14520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8737767"/>
        <c:crosses val="autoZero"/>
        <c:auto val="1"/>
        <c:lblAlgn val="ctr"/>
        <c:lblOffset val="100"/>
        <c:noMultiLvlLbl val="0"/>
      </c:catAx>
      <c:valAx>
        <c:axId val="48737767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452021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ARR by Tier ($)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Projections!A16</c:f>
              <c:strCache>
                <c:ptCount val="1"/>
                <c:pt idx="0">
                  <c:v>ARR — Maker</c:v>
                </c:pt>
              </c:strCache>
            </c:strRef>
          </c:tx>
          <c:spPr>
            <a:solidFill>
              <a:srgbClr val="4F81B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Projections!$B$16:$F$16</c:f>
              <c:numCache>
                <c:formatCode>\$#,##0;"($"#,##0\);\-</c:formatCode>
                <c:ptCount val="5"/>
                <c:pt idx="0">
                  <c:v>714000</c:v>
                </c:pt>
                <c:pt idx="1">
                  <c:v>3468000</c:v>
                </c:pt>
                <c:pt idx="2">
                  <c:v>7344000</c:v>
                </c:pt>
                <c:pt idx="3">
                  <c:v>11220000</c:v>
                </c:pt>
                <c:pt idx="4">
                  <c:v>15300000</c:v>
                </c:pt>
              </c:numCache>
            </c:numRef>
          </c:val>
        </c:ser>
        <c:ser>
          <c:idx val="1"/>
          <c:order val="1"/>
          <c:tx>
            <c:strRef>
              <c:f>Projections!A17</c:f>
              <c:strCache>
                <c:ptCount val="1"/>
                <c:pt idx="0">
                  <c:v>ARR — Pro</c:v>
                </c:pt>
              </c:strCache>
            </c:strRef>
          </c:tx>
          <c:spPr>
            <a:solidFill>
              <a:srgbClr val="C0504D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Projections!$B$17:$F$17</c:f>
              <c:numCache>
                <c:formatCode>\$#,##0;"($"#,##0\);\-</c:formatCode>
                <c:ptCount val="5"/>
                <c:pt idx="0">
                  <c:v>470400</c:v>
                </c:pt>
                <c:pt idx="1">
                  <c:v>1881600</c:v>
                </c:pt>
                <c:pt idx="2">
                  <c:v>4410000</c:v>
                </c:pt>
                <c:pt idx="3">
                  <c:v>7056000</c:v>
                </c:pt>
                <c:pt idx="4">
                  <c:v>9996000</c:v>
                </c:pt>
              </c:numCache>
            </c:numRef>
          </c:val>
        </c:ser>
        <c:ser>
          <c:idx val="2"/>
          <c:order val="2"/>
          <c:tx>
            <c:strRef>
              <c:f>Projections!A18</c:f>
              <c:strCache>
                <c:ptCount val="1"/>
                <c:pt idx="0">
                  <c:v>ARR — Dealer</c:v>
                </c:pt>
              </c:strCache>
            </c:strRef>
          </c:tx>
          <c:spPr>
            <a:solidFill>
              <a:srgbClr val="9BBB59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Projections!$B$18:$F$18</c:f>
              <c:numCache>
                <c:formatCode>\$#,##0;"($"#,##0\);\-</c:formatCode>
                <c:ptCount val="5"/>
                <c:pt idx="0">
                  <c:v>358200</c:v>
                </c:pt>
                <c:pt idx="1">
                  <c:v>1432800</c:v>
                </c:pt>
                <c:pt idx="2">
                  <c:v>3104400</c:v>
                </c:pt>
                <c:pt idx="3">
                  <c:v>4776000</c:v>
                </c:pt>
                <c:pt idx="4">
                  <c:v>6447600</c:v>
                </c:pt>
              </c:numCache>
            </c:numRef>
          </c:val>
        </c:ser>
        <c:ser>
          <c:idx val="3"/>
          <c:order val="3"/>
          <c:tx>
            <c:strRef>
              <c:f>Projections!A19</c:f>
              <c:strCache>
                <c:ptCount val="1"/>
                <c:pt idx="0">
                  <c:v>ARR — Enterprise</c:v>
                </c:pt>
              </c:strCache>
            </c:strRef>
          </c:tx>
          <c:spPr>
            <a:solidFill>
              <a:srgbClr val="8064A2"/>
            </a:solidFill>
            <a:ln w="1260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Projections!$B$19:$F$19</c:f>
              <c:numCache>
                <c:formatCode>\$#,##0;"($"#,##0\);\-</c:formatCode>
                <c:ptCount val="5"/>
                <c:pt idx="0">
                  <c:v>95904</c:v>
                </c:pt>
                <c:pt idx="1">
                  <c:v>359640</c:v>
                </c:pt>
                <c:pt idx="2">
                  <c:v>839160</c:v>
                </c:pt>
                <c:pt idx="3">
                  <c:v>1438560</c:v>
                </c:pt>
                <c:pt idx="4">
                  <c:v>2157840</c:v>
                </c:pt>
              </c:numCache>
            </c:numRef>
          </c:val>
        </c:ser>
        <c:gapWidth val="150"/>
        <c:overlap val="100"/>
        <c:axId val="63904729"/>
        <c:axId val="88490015"/>
      </c:barChart>
      <c:catAx>
        <c:axId val="639047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88490015"/>
        <c:crosses val="autoZero"/>
        <c:auto val="1"/>
        <c:lblAlgn val="ctr"/>
        <c:lblOffset val="100"/>
        <c:noMultiLvlLbl val="0"/>
      </c:catAx>
      <c:valAx>
        <c:axId val="8849001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6390472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Revenue &amp; EBITDA ($)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Projections!A25</c:f>
              <c:strCache>
                <c:ptCount val="1"/>
                <c:pt idx="0">
                  <c:v>Total revenue</c:v>
                </c:pt>
              </c:strCache>
            </c:strRef>
          </c:tx>
          <c:spPr>
            <a:solidFill>
              <a:srgbClr val="4A7EBB"/>
            </a:solidFill>
            <a:ln w="1260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Projections!$B$25:$F$25</c:f>
              <c:numCache>
                <c:formatCode>\$#,##0;"($"#,##0\);\-</c:formatCode>
                <c:ptCount val="5"/>
                <c:pt idx="0">
                  <c:v>3284462</c:v>
                </c:pt>
                <c:pt idx="1">
                  <c:v>12013370</c:v>
                </c:pt>
                <c:pt idx="2">
                  <c:v>25122932.5</c:v>
                </c:pt>
                <c:pt idx="3">
                  <c:v>35685272.5</c:v>
                </c:pt>
                <c:pt idx="4">
                  <c:v>47329170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Projections!A32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rgbClr val="BE4B48"/>
            </a:solidFill>
            <a:ln w="1260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126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Projections!$B$4:$F$4</c:f>
              <c:strCache>
                <c:ptCount val="5"/>
                <c:pt idx="0">
                  <c:v>Y1</c:v>
                </c:pt>
                <c:pt idx="1">
                  <c:v>Y2</c:v>
                </c:pt>
                <c:pt idx="2">
                  <c:v>Y3</c:v>
                </c:pt>
                <c:pt idx="3">
                  <c:v>Y4</c:v>
                </c:pt>
                <c:pt idx="4">
                  <c:v>Y5</c:v>
                </c:pt>
              </c:strCache>
            </c:strRef>
          </c:cat>
          <c:val>
            <c:numRef>
              <c:f>Projections!$B$32:$F$32</c:f>
              <c:numCache>
                <c:formatCode>\$#,##0;"($"#,##0\);\-</c:formatCode>
                <c:ptCount val="5"/>
                <c:pt idx="0">
                  <c:v>-558207.3</c:v>
                </c:pt>
                <c:pt idx="1">
                  <c:v>3011364.5</c:v>
                </c:pt>
                <c:pt idx="2">
                  <c:v>10454492.625</c:v>
                </c:pt>
                <c:pt idx="3">
                  <c:v>16532481.625</c:v>
                </c:pt>
                <c:pt idx="4">
                  <c:v>23729794.5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8720124"/>
        <c:axId val="5892769"/>
      </c:lineChart>
      <c:catAx>
        <c:axId val="487201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892769"/>
        <c:crosses val="autoZero"/>
        <c:auto val="1"/>
        <c:lblAlgn val="ctr"/>
        <c:lblOffset val="100"/>
        <c:noMultiLvlLbl val="0"/>
      </c:catAx>
      <c:valAx>
        <c:axId val="58927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;&quot;($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872012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3</xdr:row>
      <xdr:rowOff>0</xdr:rowOff>
    </xdr:from>
    <xdr:to>
      <xdr:col>16</xdr:col>
      <xdr:colOff>256320</xdr:colOff>
      <xdr:row>18</xdr:row>
      <xdr:rowOff>21960</xdr:rowOff>
    </xdr:to>
    <xdr:graphicFrame>
      <xdr:nvGraphicFramePr>
        <xdr:cNvPr id="1" name="Chart 1"/>
        <xdr:cNvGraphicFramePr/>
      </xdr:nvGraphicFramePr>
      <xdr:xfrm>
        <a:off x="7307640" y="60120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20</xdr:row>
      <xdr:rowOff>0</xdr:rowOff>
    </xdr:from>
    <xdr:to>
      <xdr:col>16</xdr:col>
      <xdr:colOff>256320</xdr:colOff>
      <xdr:row>35</xdr:row>
      <xdr:rowOff>21960</xdr:rowOff>
    </xdr:to>
    <xdr:graphicFrame>
      <xdr:nvGraphicFramePr>
        <xdr:cNvPr id="2" name="Chart 2"/>
        <xdr:cNvGraphicFramePr/>
      </xdr:nvGraphicFramePr>
      <xdr:xfrm>
        <a:off x="7307640" y="38397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0</xdr:colOff>
      <xdr:row>37</xdr:row>
      <xdr:rowOff>0</xdr:rowOff>
    </xdr:from>
    <xdr:to>
      <xdr:col>16</xdr:col>
      <xdr:colOff>256320</xdr:colOff>
      <xdr:row>52</xdr:row>
      <xdr:rowOff>21960</xdr:rowOff>
    </xdr:to>
    <xdr:graphicFrame>
      <xdr:nvGraphicFramePr>
        <xdr:cNvPr id="3" name="Chart 3"/>
        <xdr:cNvGraphicFramePr/>
      </xdr:nvGraphicFramePr>
      <xdr:xfrm>
        <a:off x="7307640" y="707832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6" min="2" style="0" width="13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102</v>
      </c>
    </row>
    <row r="6" customFormat="false" ht="15" hidden="false" customHeight="false" outlineLevel="0" collapsed="false">
      <c r="A6" s="4" t="s">
        <v>4</v>
      </c>
      <c r="B6" s="5" t="n">
        <v>588</v>
      </c>
    </row>
    <row r="7" customFormat="false" ht="15" hidden="false" customHeight="false" outlineLevel="0" collapsed="false">
      <c r="A7" s="4" t="s">
        <v>5</v>
      </c>
      <c r="B7" s="5" t="n">
        <v>2388</v>
      </c>
    </row>
    <row r="8" customFormat="false" ht="15" hidden="false" customHeight="false" outlineLevel="0" collapsed="false">
      <c r="A8" s="4" t="s">
        <v>6</v>
      </c>
      <c r="B8" s="5" t="n">
        <v>11988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4" t="s">
        <v>8</v>
      </c>
      <c r="B11" s="5" t="n">
        <v>1995</v>
      </c>
    </row>
    <row r="12" customFormat="false" ht="15" hidden="false" customHeight="false" outlineLevel="0" collapsed="false">
      <c r="A12" s="4" t="s">
        <v>9</v>
      </c>
      <c r="B12" s="5" t="n">
        <v>4995</v>
      </c>
    </row>
    <row r="13" customFormat="false" ht="15" hidden="false" customHeight="false" outlineLevel="0" collapsed="false">
      <c r="A13" s="4" t="s">
        <v>10</v>
      </c>
      <c r="B13" s="5" t="n">
        <v>14995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4" t="s">
        <v>12</v>
      </c>
      <c r="B16" s="6" t="n">
        <v>0.25</v>
      </c>
    </row>
    <row r="17" customFormat="false" ht="15" hidden="false" customHeight="false" outlineLevel="0" collapsed="false">
      <c r="A17" s="4" t="s">
        <v>13</v>
      </c>
      <c r="B17" s="6" t="n">
        <v>0.12</v>
      </c>
    </row>
    <row r="18" customFormat="false" ht="15" hidden="false" customHeight="false" outlineLevel="0" collapsed="false">
      <c r="A18" s="4" t="s">
        <v>14</v>
      </c>
      <c r="B18" s="6" t="n">
        <v>0.08</v>
      </c>
    </row>
    <row r="19" customFormat="false" ht="15" hidden="false" customHeight="false" outlineLevel="0" collapsed="false">
      <c r="A19" s="4" t="s">
        <v>15</v>
      </c>
      <c r="B19" s="6" t="n">
        <v>0.05</v>
      </c>
    </row>
    <row r="21" customFormat="false" ht="15" hidden="false" customHeight="false" outlineLevel="0" collapsed="false">
      <c r="A21" s="3" t="s">
        <v>16</v>
      </c>
    </row>
    <row r="22" customFormat="false" ht="15" hidden="false" customHeight="false" outlineLevel="0" collapsed="false">
      <c r="A22" s="4" t="s">
        <v>12</v>
      </c>
      <c r="B22" s="5" t="n">
        <v>35</v>
      </c>
    </row>
    <row r="23" customFormat="false" ht="15" hidden="false" customHeight="false" outlineLevel="0" collapsed="false">
      <c r="A23" s="4" t="s">
        <v>13</v>
      </c>
      <c r="B23" s="5" t="n">
        <v>400</v>
      </c>
    </row>
    <row r="24" customFormat="false" ht="15" hidden="false" customHeight="false" outlineLevel="0" collapsed="false">
      <c r="A24" s="4" t="s">
        <v>14</v>
      </c>
      <c r="B24" s="5" t="n">
        <v>1500</v>
      </c>
    </row>
    <row r="25" customFormat="false" ht="15" hidden="false" customHeight="false" outlineLevel="0" collapsed="false">
      <c r="A25" s="4" t="s">
        <v>15</v>
      </c>
      <c r="B25" s="5" t="n">
        <v>6000</v>
      </c>
    </row>
    <row r="27" customFormat="false" ht="15" hidden="false" customHeight="false" outlineLevel="0" collapsed="false">
      <c r="A27" s="3" t="s">
        <v>17</v>
      </c>
    </row>
    <row r="28" customFormat="false" ht="15" hidden="false" customHeight="false" outlineLevel="0" collapsed="false">
      <c r="A28" s="4" t="s">
        <v>18</v>
      </c>
      <c r="B28" s="6" t="n">
        <v>0.85</v>
      </c>
    </row>
    <row r="29" customFormat="false" ht="15" hidden="false" customHeight="false" outlineLevel="0" collapsed="false">
      <c r="A29" s="4" t="s">
        <v>19</v>
      </c>
      <c r="B29" s="7" t="n">
        <v>6</v>
      </c>
    </row>
    <row r="30" customFormat="false" ht="15" hidden="false" customHeight="false" outlineLevel="0" collapsed="false">
      <c r="A30" s="4" t="s">
        <v>20</v>
      </c>
      <c r="B30" s="7" t="n">
        <v>50</v>
      </c>
    </row>
    <row r="31" customFormat="false" ht="15" hidden="false" customHeight="false" outlineLevel="0" collapsed="false">
      <c r="A31" s="4" t="s">
        <v>21</v>
      </c>
      <c r="B31" s="8" t="n">
        <v>1</v>
      </c>
    </row>
    <row r="33" customFormat="false" ht="15" hidden="false" customHeight="false" outlineLevel="0" collapsed="false">
      <c r="A33" s="3" t="s">
        <v>22</v>
      </c>
      <c r="B33" s="9" t="s">
        <v>23</v>
      </c>
      <c r="C33" s="9" t="s">
        <v>24</v>
      </c>
      <c r="D33" s="9" t="s">
        <v>25</v>
      </c>
      <c r="E33" s="9" t="s">
        <v>26</v>
      </c>
      <c r="F33" s="9" t="s">
        <v>27</v>
      </c>
    </row>
    <row r="34" customFormat="false" ht="15" hidden="false" customHeight="false" outlineLevel="0" collapsed="false">
      <c r="A34" s="4" t="s">
        <v>28</v>
      </c>
      <c r="B34" s="7" t="n">
        <v>7000</v>
      </c>
      <c r="C34" s="7" t="n">
        <v>34000</v>
      </c>
      <c r="D34" s="7" t="n">
        <v>72000</v>
      </c>
      <c r="E34" s="7" t="n">
        <v>110000</v>
      </c>
      <c r="F34" s="7" t="n">
        <v>150000</v>
      </c>
    </row>
    <row r="35" customFormat="false" ht="15" hidden="false" customHeight="false" outlineLevel="0" collapsed="false">
      <c r="A35" s="4" t="s">
        <v>29</v>
      </c>
      <c r="B35" s="7" t="n">
        <v>800</v>
      </c>
      <c r="C35" s="7" t="n">
        <v>3200</v>
      </c>
      <c r="D35" s="7" t="n">
        <v>7500</v>
      </c>
      <c r="E35" s="7" t="n">
        <v>12000</v>
      </c>
      <c r="F35" s="7" t="n">
        <v>17000</v>
      </c>
    </row>
    <row r="36" customFormat="false" ht="15" hidden="false" customHeight="false" outlineLevel="0" collapsed="false">
      <c r="A36" s="4" t="s">
        <v>30</v>
      </c>
      <c r="B36" s="7" t="n">
        <v>150</v>
      </c>
      <c r="C36" s="7" t="n">
        <v>600</v>
      </c>
      <c r="D36" s="7" t="n">
        <v>1300</v>
      </c>
      <c r="E36" s="7" t="n">
        <v>2000</v>
      </c>
      <c r="F36" s="7" t="n">
        <v>2700</v>
      </c>
    </row>
    <row r="37" customFormat="false" ht="15" hidden="false" customHeight="false" outlineLevel="0" collapsed="false">
      <c r="A37" s="4" t="s">
        <v>31</v>
      </c>
      <c r="B37" s="7" t="n">
        <v>8</v>
      </c>
      <c r="C37" s="7" t="n">
        <v>30</v>
      </c>
      <c r="D37" s="7" t="n">
        <v>70</v>
      </c>
      <c r="E37" s="7" t="n">
        <v>120</v>
      </c>
      <c r="F37" s="7" t="n">
        <v>180</v>
      </c>
    </row>
    <row r="39" customFormat="false" ht="15" hidden="false" customHeight="false" outlineLevel="0" collapsed="false">
      <c r="A39" s="3" t="s">
        <v>32</v>
      </c>
      <c r="B39" s="9" t="s">
        <v>23</v>
      </c>
      <c r="C39" s="9" t="s">
        <v>24</v>
      </c>
      <c r="D39" s="9" t="s">
        <v>25</v>
      </c>
      <c r="E39" s="9" t="s">
        <v>26</v>
      </c>
      <c r="F39" s="9" t="s">
        <v>27</v>
      </c>
    </row>
    <row r="40" customFormat="false" ht="15" hidden="false" customHeight="false" outlineLevel="0" collapsed="false">
      <c r="A40" s="4" t="s">
        <v>33</v>
      </c>
      <c r="B40" s="5" t="n">
        <v>1400000</v>
      </c>
      <c r="C40" s="5" t="n">
        <v>2600000</v>
      </c>
      <c r="D40" s="5" t="n">
        <v>3800000</v>
      </c>
      <c r="E40" s="5" t="n">
        <v>4900000</v>
      </c>
      <c r="F40" s="5" t="n">
        <v>5900000</v>
      </c>
    </row>
    <row r="41" customFormat="false" ht="15" hidden="false" customHeight="false" outlineLevel="0" collapsed="false">
      <c r="A41" s="4" t="s">
        <v>34</v>
      </c>
      <c r="B41" s="5" t="n">
        <v>1300000</v>
      </c>
      <c r="C41" s="5" t="n">
        <v>3400000</v>
      </c>
      <c r="D41" s="5" t="n">
        <v>5200000</v>
      </c>
      <c r="E41" s="5" t="n">
        <v>6300000</v>
      </c>
      <c r="F41" s="5" t="n">
        <v>7400000</v>
      </c>
    </row>
    <row r="42" customFormat="false" ht="15" hidden="false" customHeight="false" outlineLevel="0" collapsed="false">
      <c r="A42" s="4" t="s">
        <v>35</v>
      </c>
      <c r="B42" s="5" t="n">
        <v>650000</v>
      </c>
      <c r="C42" s="5" t="n">
        <v>1200000</v>
      </c>
      <c r="D42" s="5" t="n">
        <v>1900000</v>
      </c>
      <c r="E42" s="5" t="n">
        <v>2600000</v>
      </c>
      <c r="F42" s="5" t="n">
        <v>3200000</v>
      </c>
    </row>
    <row r="44" customFormat="false" ht="15" hidden="false" customHeight="false" outlineLevel="0" collapsed="false">
      <c r="A44" s="3" t="s">
        <v>36</v>
      </c>
      <c r="B44" s="9" t="s">
        <v>23</v>
      </c>
      <c r="C44" s="9" t="s">
        <v>24</v>
      </c>
      <c r="D44" s="9" t="s">
        <v>25</v>
      </c>
      <c r="E44" s="9" t="s">
        <v>26</v>
      </c>
      <c r="F44" s="9" t="s">
        <v>27</v>
      </c>
    </row>
    <row r="45" customFormat="false" ht="15" hidden="false" customHeight="false" outlineLevel="0" collapsed="false">
      <c r="A45" s="4" t="s">
        <v>37</v>
      </c>
      <c r="B45" s="7" t="n">
        <v>180000</v>
      </c>
      <c r="C45" s="7" t="n">
        <v>600000</v>
      </c>
      <c r="D45" s="7" t="n">
        <v>1200000</v>
      </c>
      <c r="E45" s="7" t="n">
        <v>1900000</v>
      </c>
      <c r="F45" s="7" t="n">
        <v>2600000</v>
      </c>
    </row>
    <row r="46" customFormat="false" ht="15" hidden="false" customHeight="false" outlineLevel="0" collapsed="false">
      <c r="A46" s="4" t="s">
        <v>38</v>
      </c>
      <c r="B46" s="6" t="n">
        <v>0.35</v>
      </c>
    </row>
    <row r="47" customFormat="false" ht="15" hidden="false" customHeight="false" outlineLevel="0" collapsed="false">
      <c r="A47" s="4" t="s">
        <v>39</v>
      </c>
      <c r="B47" s="6" t="n">
        <v>0.12</v>
      </c>
    </row>
    <row r="48" customFormat="false" ht="15" hidden="false" customHeight="false" outlineLevel="0" collapsed="false">
      <c r="A48" s="4" t="s">
        <v>40</v>
      </c>
      <c r="B48" s="6" t="n">
        <v>0.3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13"/>
  </cols>
  <sheetData>
    <row r="1" customFormat="false" ht="17.35" hidden="false" customHeight="false" outlineLevel="0" collapsed="false">
      <c r="A1" s="1" t="s">
        <v>41</v>
      </c>
    </row>
    <row r="2" customFormat="false" ht="15" hidden="false" customHeight="false" outlineLevel="0" collapsed="false">
      <c r="A2" s="2" t="s">
        <v>42</v>
      </c>
    </row>
    <row r="4" customFormat="false" ht="15" hidden="false" customHeight="false" outlineLevel="0" collapsed="false">
      <c r="A4" s="3" t="s">
        <v>43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</row>
    <row r="5" customFormat="false" ht="15" hidden="false" customHeight="false" outlineLevel="0" collapsed="false">
      <c r="A5" s="4" t="s">
        <v>28</v>
      </c>
      <c r="B5" s="10" t="n">
        <f aca="false">Assumptions!B34*Assumptions!$B$31</f>
        <v>7000</v>
      </c>
      <c r="C5" s="10" t="n">
        <f aca="false">Assumptions!C34*Assumptions!$B$31</f>
        <v>34000</v>
      </c>
      <c r="D5" s="10" t="n">
        <f aca="false">Assumptions!D34*Assumptions!$B$31</f>
        <v>72000</v>
      </c>
      <c r="E5" s="10" t="n">
        <f aca="false">Assumptions!E34*Assumptions!$B$31</f>
        <v>110000</v>
      </c>
      <c r="F5" s="10" t="n">
        <f aca="false">Assumptions!F34*Assumptions!$B$31</f>
        <v>150000</v>
      </c>
    </row>
    <row r="6" customFormat="false" ht="15" hidden="false" customHeight="false" outlineLevel="0" collapsed="false">
      <c r="A6" s="4" t="s">
        <v>29</v>
      </c>
      <c r="B6" s="10" t="n">
        <f aca="false">Assumptions!B35*Assumptions!$B$31</f>
        <v>800</v>
      </c>
      <c r="C6" s="10" t="n">
        <f aca="false">Assumptions!C35*Assumptions!$B$31</f>
        <v>3200</v>
      </c>
      <c r="D6" s="10" t="n">
        <f aca="false">Assumptions!D35*Assumptions!$B$31</f>
        <v>7500</v>
      </c>
      <c r="E6" s="10" t="n">
        <f aca="false">Assumptions!E35*Assumptions!$B$31</f>
        <v>12000</v>
      </c>
      <c r="F6" s="10" t="n">
        <f aca="false">Assumptions!F35*Assumptions!$B$31</f>
        <v>17000</v>
      </c>
    </row>
    <row r="7" customFormat="false" ht="15" hidden="false" customHeight="false" outlineLevel="0" collapsed="false">
      <c r="A7" s="4" t="s">
        <v>30</v>
      </c>
      <c r="B7" s="10" t="n">
        <f aca="false">Assumptions!B36*Assumptions!$B$31</f>
        <v>150</v>
      </c>
      <c r="C7" s="10" t="n">
        <f aca="false">Assumptions!C36*Assumptions!$B$31</f>
        <v>600</v>
      </c>
      <c r="D7" s="10" t="n">
        <f aca="false">Assumptions!D36*Assumptions!$B$31</f>
        <v>1300</v>
      </c>
      <c r="E7" s="10" t="n">
        <f aca="false">Assumptions!E36*Assumptions!$B$31</f>
        <v>2000</v>
      </c>
      <c r="F7" s="10" t="n">
        <f aca="false">Assumptions!F36*Assumptions!$B$31</f>
        <v>2700</v>
      </c>
    </row>
    <row r="8" customFormat="false" ht="15" hidden="false" customHeight="false" outlineLevel="0" collapsed="false">
      <c r="A8" s="4" t="s">
        <v>31</v>
      </c>
      <c r="B8" s="10" t="n">
        <f aca="false">Assumptions!B37*Assumptions!$B$31</f>
        <v>8</v>
      </c>
      <c r="C8" s="10" t="n">
        <f aca="false">Assumptions!C37*Assumptions!$B$31</f>
        <v>30</v>
      </c>
      <c r="D8" s="10" t="n">
        <f aca="false">Assumptions!D37*Assumptions!$B$31</f>
        <v>70</v>
      </c>
      <c r="E8" s="10" t="n">
        <f aca="false">Assumptions!E37*Assumptions!$B$31</f>
        <v>120</v>
      </c>
      <c r="F8" s="10" t="n">
        <f aca="false">Assumptions!F37*Assumptions!$B$31</f>
        <v>180</v>
      </c>
    </row>
    <row r="9" customFormat="false" ht="15" hidden="false" customHeight="false" outlineLevel="0" collapsed="false">
      <c r="A9" s="4" t="s">
        <v>44</v>
      </c>
      <c r="B9" s="11" t="n">
        <f aca="false">B7*Assumptions!$B$29</f>
        <v>900</v>
      </c>
      <c r="C9" s="11" t="n">
        <f aca="false">C7*Assumptions!$B$29</f>
        <v>3600</v>
      </c>
      <c r="D9" s="11" t="n">
        <f aca="false">D7*Assumptions!$B$29</f>
        <v>7800</v>
      </c>
      <c r="E9" s="11" t="n">
        <f aca="false">E7*Assumptions!$B$29</f>
        <v>12000</v>
      </c>
      <c r="F9" s="11" t="n">
        <f aca="false">F7*Assumptions!$B$29</f>
        <v>16200</v>
      </c>
    </row>
    <row r="10" customFormat="false" ht="15" hidden="false" customHeight="false" outlineLevel="0" collapsed="false">
      <c r="A10" s="4" t="s">
        <v>45</v>
      </c>
      <c r="B10" s="11" t="n">
        <f aca="false">B8*Assumptions!$B$30</f>
        <v>400</v>
      </c>
      <c r="C10" s="11" t="n">
        <f aca="false">C8*Assumptions!$B$30</f>
        <v>1500</v>
      </c>
      <c r="D10" s="11" t="n">
        <f aca="false">D8*Assumptions!$B$30</f>
        <v>3500</v>
      </c>
      <c r="E10" s="11" t="n">
        <f aca="false">E8*Assumptions!$B$30</f>
        <v>6000</v>
      </c>
      <c r="F10" s="11" t="n">
        <f aca="false">F8*Assumptions!$B$30</f>
        <v>9000</v>
      </c>
    </row>
    <row r="11" customFormat="false" ht="15" hidden="false" customHeight="false" outlineLevel="0" collapsed="false">
      <c r="A11" s="12" t="s">
        <v>46</v>
      </c>
      <c r="B11" s="13" t="n">
        <f aca="false">B5+B6+B9+B10</f>
        <v>9100</v>
      </c>
      <c r="C11" s="13" t="n">
        <f aca="false">C5+C6+C9+C10</f>
        <v>42300</v>
      </c>
      <c r="D11" s="13" t="n">
        <f aca="false">D5+D6+D9+D10</f>
        <v>90800</v>
      </c>
      <c r="E11" s="13" t="n">
        <f aca="false">E5+E6+E9+E10</f>
        <v>140000</v>
      </c>
      <c r="F11" s="13" t="n">
        <f aca="false">F5+F6+F9+F10</f>
        <v>192200</v>
      </c>
    </row>
    <row r="12" customFormat="false" ht="15" hidden="false" customHeight="false" outlineLevel="0" collapsed="false">
      <c r="A12" s="4" t="s">
        <v>47</v>
      </c>
      <c r="B12" s="11" t="n">
        <f aca="false">B5+B6+B7+B8</f>
        <v>7958</v>
      </c>
      <c r="C12" s="11" t="n">
        <f aca="false">C5+C6+C7+C8</f>
        <v>37830</v>
      </c>
      <c r="D12" s="11" t="n">
        <f aca="false">D5+D6+D7+D8</f>
        <v>80870</v>
      </c>
      <c r="E12" s="11" t="n">
        <f aca="false">E5+E6+E7+E8</f>
        <v>124120</v>
      </c>
      <c r="F12" s="11" t="n">
        <f aca="false">F5+F6+F7+F8</f>
        <v>169880</v>
      </c>
    </row>
    <row r="13" customFormat="false" ht="15" hidden="false" customHeight="false" outlineLevel="0" collapsed="false">
      <c r="A13" s="14" t="s">
        <v>48</v>
      </c>
      <c r="B13" s="15" t="n">
        <v>100000</v>
      </c>
      <c r="C13" s="15" t="n">
        <v>100000</v>
      </c>
      <c r="D13" s="15" t="n">
        <v>100000</v>
      </c>
      <c r="E13" s="15" t="n">
        <v>100000</v>
      </c>
      <c r="F13" s="15" t="n">
        <v>100000</v>
      </c>
    </row>
    <row r="15" customFormat="false" ht="15" hidden="false" customHeight="false" outlineLevel="0" collapsed="false">
      <c r="A15" s="3" t="s">
        <v>49</v>
      </c>
      <c r="B15" s="9" t="s">
        <v>23</v>
      </c>
      <c r="C15" s="9" t="s">
        <v>24</v>
      </c>
      <c r="D15" s="9" t="s">
        <v>25</v>
      </c>
      <c r="E15" s="9" t="s">
        <v>26</v>
      </c>
      <c r="F15" s="9" t="s">
        <v>27</v>
      </c>
    </row>
    <row r="16" customFormat="false" ht="15" hidden="false" customHeight="false" outlineLevel="0" collapsed="false">
      <c r="A16" s="4" t="s">
        <v>50</v>
      </c>
      <c r="B16" s="16" t="n">
        <f aca="false">B5*Assumptions!$B$5</f>
        <v>714000</v>
      </c>
      <c r="C16" s="16" t="n">
        <f aca="false">C5*Assumptions!$B$5</f>
        <v>3468000</v>
      </c>
      <c r="D16" s="16" t="n">
        <f aca="false">D5*Assumptions!$B$5</f>
        <v>7344000</v>
      </c>
      <c r="E16" s="16" t="n">
        <f aca="false">E5*Assumptions!$B$5</f>
        <v>11220000</v>
      </c>
      <c r="F16" s="16" t="n">
        <f aca="false">F5*Assumptions!$B$5</f>
        <v>15300000</v>
      </c>
    </row>
    <row r="17" customFormat="false" ht="15" hidden="false" customHeight="false" outlineLevel="0" collapsed="false">
      <c r="A17" s="4" t="s">
        <v>51</v>
      </c>
      <c r="B17" s="16" t="n">
        <f aca="false">B6*Assumptions!$B$6</f>
        <v>470400</v>
      </c>
      <c r="C17" s="16" t="n">
        <f aca="false">C6*Assumptions!$B$6</f>
        <v>1881600</v>
      </c>
      <c r="D17" s="16" t="n">
        <f aca="false">D6*Assumptions!$B$6</f>
        <v>4410000</v>
      </c>
      <c r="E17" s="16" t="n">
        <f aca="false">E6*Assumptions!$B$6</f>
        <v>7056000</v>
      </c>
      <c r="F17" s="16" t="n">
        <f aca="false">F6*Assumptions!$B$6</f>
        <v>9996000</v>
      </c>
    </row>
    <row r="18" customFormat="false" ht="15" hidden="false" customHeight="false" outlineLevel="0" collapsed="false">
      <c r="A18" s="4" t="s">
        <v>52</v>
      </c>
      <c r="B18" s="16" t="n">
        <f aca="false">B7*Assumptions!$B$7</f>
        <v>358200</v>
      </c>
      <c r="C18" s="16" t="n">
        <f aca="false">C7*Assumptions!$B$7</f>
        <v>1432800</v>
      </c>
      <c r="D18" s="16" t="n">
        <f aca="false">D7*Assumptions!$B$7</f>
        <v>3104400</v>
      </c>
      <c r="E18" s="16" t="n">
        <f aca="false">E7*Assumptions!$B$7</f>
        <v>4776000</v>
      </c>
      <c r="F18" s="16" t="n">
        <f aca="false">F7*Assumptions!$B$7</f>
        <v>6447600</v>
      </c>
    </row>
    <row r="19" customFormat="false" ht="15" hidden="false" customHeight="false" outlineLevel="0" collapsed="false">
      <c r="A19" s="4" t="s">
        <v>53</v>
      </c>
      <c r="B19" s="16" t="n">
        <f aca="false">B8*Assumptions!$B$8</f>
        <v>95904</v>
      </c>
      <c r="C19" s="16" t="n">
        <f aca="false">C8*Assumptions!$B$8</f>
        <v>359640</v>
      </c>
      <c r="D19" s="16" t="n">
        <f aca="false">D8*Assumptions!$B$8</f>
        <v>839160</v>
      </c>
      <c r="E19" s="16" t="n">
        <f aca="false">E8*Assumptions!$B$8</f>
        <v>1438560</v>
      </c>
      <c r="F19" s="16" t="n">
        <f aca="false">F8*Assumptions!$B$8</f>
        <v>2157840</v>
      </c>
    </row>
    <row r="20" customFormat="false" ht="15" hidden="false" customHeight="false" outlineLevel="0" collapsed="false">
      <c r="A20" s="12" t="s">
        <v>54</v>
      </c>
      <c r="B20" s="17" t="n">
        <f aca="false">SUM(B16:B19)</f>
        <v>1638504</v>
      </c>
      <c r="C20" s="17" t="n">
        <f aca="false">SUM(C16:C19)</f>
        <v>7142040</v>
      </c>
      <c r="D20" s="17" t="n">
        <f aca="false">SUM(D16:D19)</f>
        <v>15697560</v>
      </c>
      <c r="E20" s="17" t="n">
        <f aca="false">SUM(E16:E19)</f>
        <v>24490560</v>
      </c>
      <c r="F20" s="17" t="n">
        <f aca="false">SUM(F16:F19)</f>
        <v>33901440</v>
      </c>
    </row>
    <row r="22" customFormat="false" ht="15" hidden="false" customHeight="false" outlineLevel="0" collapsed="false">
      <c r="A22" s="3" t="s">
        <v>55</v>
      </c>
      <c r="B22" s="9" t="s">
        <v>23</v>
      </c>
      <c r="C22" s="9" t="s">
        <v>24</v>
      </c>
      <c r="D22" s="9" t="s">
        <v>25</v>
      </c>
      <c r="E22" s="9" t="s">
        <v>26</v>
      </c>
      <c r="F22" s="9" t="s">
        <v>27</v>
      </c>
    </row>
    <row r="23" customFormat="false" ht="15" hidden="false" customHeight="false" outlineLevel="0" collapsed="false">
      <c r="A23" s="4" t="s">
        <v>56</v>
      </c>
      <c r="B23" s="16" t="n">
        <f aca="false">B20/2</f>
        <v>819252</v>
      </c>
      <c r="C23" s="16" t="n">
        <f aca="false">(B20+C20)/2</f>
        <v>4390272</v>
      </c>
      <c r="D23" s="16" t="n">
        <f aca="false">(C20+D20)/2</f>
        <v>11419800</v>
      </c>
      <c r="E23" s="16" t="n">
        <f aca="false">(D20+E20)/2</f>
        <v>20094060</v>
      </c>
      <c r="F23" s="16" t="n">
        <f aca="false">(E20+F20)/2</f>
        <v>29196000</v>
      </c>
    </row>
    <row r="24" customFormat="false" ht="15" hidden="false" customHeight="false" outlineLevel="0" collapsed="false">
      <c r="A24" s="4" t="s">
        <v>57</v>
      </c>
      <c r="B24" s="16" t="n">
        <f aca="false">B6*Assumptions!$B$11+B7*Assumptions!$B$12+B8*Assumptions!$B$13</f>
        <v>2465210</v>
      </c>
      <c r="C24" s="16" t="n">
        <f aca="false">((C6-B6)+B6*Assumptions!$B$17)*Assumptions!$B$11+((C7-B7)+B7*Assumptions!$B$18)*Assumptions!$B$12+((C8-B8)+B8*Assumptions!$B$19)*Assumptions!$B$13</f>
        <v>7623098</v>
      </c>
      <c r="D24" s="16" t="n">
        <f aca="false">((D6-C6)+C6*Assumptions!$B$17)*Assumptions!$B$11+((D7-C7)+C7*Assumptions!$B$18)*Assumptions!$B$12+((D8-C8)+C8*Assumptions!$B$19)*Assumptions!$B$13</f>
        <v>13703132.5</v>
      </c>
      <c r="E24" s="16" t="n">
        <f aca="false">((E6-D6)+D6*Assumptions!$B$17)*Assumptions!$B$11+((E7-D7)+D7*Assumptions!$B$18)*Assumptions!$B$12+((E8-D8)+D8*Assumptions!$B$19)*Assumptions!$B$13</f>
        <v>15591212.5</v>
      </c>
      <c r="F24" s="16" t="n">
        <f aca="false">((F6-E6)+E6*Assumptions!$B$17)*Assumptions!$B$11+((F7-E7)+E7*Assumptions!$B$18)*Assumptions!$B$12+((F8-E8)+E8*Assumptions!$B$19)*Assumptions!$B$13</f>
        <v>18133170</v>
      </c>
    </row>
    <row r="25" customFormat="false" ht="15" hidden="false" customHeight="false" outlineLevel="0" collapsed="false">
      <c r="A25" s="12" t="s">
        <v>58</v>
      </c>
      <c r="B25" s="17" t="n">
        <f aca="false">B23+B24</f>
        <v>3284462</v>
      </c>
      <c r="C25" s="17" t="n">
        <f aca="false">C23+C24</f>
        <v>12013370</v>
      </c>
      <c r="D25" s="17" t="n">
        <f aca="false">D23+D24</f>
        <v>25122932.5</v>
      </c>
      <c r="E25" s="17" t="n">
        <f aca="false">E23+E24</f>
        <v>35685272.5</v>
      </c>
      <c r="F25" s="17" t="n">
        <f aca="false">F23+F24</f>
        <v>47329170</v>
      </c>
    </row>
    <row r="26" customFormat="false" ht="15" hidden="false" customHeight="false" outlineLevel="0" collapsed="false">
      <c r="A26" s="4" t="s">
        <v>59</v>
      </c>
      <c r="B26" s="16" t="n">
        <f aca="false">-B25*(1-Assumptions!$B$28)</f>
        <v>-492669.3</v>
      </c>
      <c r="C26" s="16" t="n">
        <f aca="false">-C25*(1-Assumptions!$B$28)</f>
        <v>-1802005.5</v>
      </c>
      <c r="D26" s="16" t="n">
        <f aca="false">-D25*(1-Assumptions!$B$28)</f>
        <v>-3768439.875</v>
      </c>
      <c r="E26" s="16" t="n">
        <f aca="false">-E25*(1-Assumptions!$B$28)</f>
        <v>-5352790.875</v>
      </c>
      <c r="F26" s="16" t="n">
        <f aca="false">-F25*(1-Assumptions!$B$28)</f>
        <v>-7099375.5</v>
      </c>
    </row>
    <row r="27" customFormat="false" ht="15" hidden="false" customHeight="false" outlineLevel="0" collapsed="false">
      <c r="A27" s="12" t="s">
        <v>60</v>
      </c>
      <c r="B27" s="17" t="n">
        <f aca="false">B25+B26</f>
        <v>2791792.7</v>
      </c>
      <c r="C27" s="17" t="n">
        <f aca="false">C25+C26</f>
        <v>10211364.5</v>
      </c>
      <c r="D27" s="17" t="n">
        <f aca="false">D25+D26</f>
        <v>21354492.625</v>
      </c>
      <c r="E27" s="17" t="n">
        <f aca="false">E25+E26</f>
        <v>30332481.625</v>
      </c>
      <c r="F27" s="17" t="n">
        <f aca="false">F25+F26</f>
        <v>40229794.5</v>
      </c>
    </row>
    <row r="28" customFormat="false" ht="15" hidden="false" customHeight="false" outlineLevel="0" collapsed="false">
      <c r="A28" s="4" t="s">
        <v>61</v>
      </c>
      <c r="B28" s="18" t="n">
        <f aca="false">-Assumptions!B40</f>
        <v>-1400000</v>
      </c>
      <c r="C28" s="18" t="n">
        <f aca="false">-Assumptions!C40</f>
        <v>-2600000</v>
      </c>
      <c r="D28" s="18" t="n">
        <f aca="false">-Assumptions!D40</f>
        <v>-3800000</v>
      </c>
      <c r="E28" s="18" t="n">
        <f aca="false">-Assumptions!E40</f>
        <v>-4900000</v>
      </c>
      <c r="F28" s="18" t="n">
        <f aca="false">-Assumptions!F40</f>
        <v>-5900000</v>
      </c>
    </row>
    <row r="29" customFormat="false" ht="15" hidden="false" customHeight="false" outlineLevel="0" collapsed="false">
      <c r="A29" s="4" t="s">
        <v>34</v>
      </c>
      <c r="B29" s="18" t="n">
        <f aca="false">-Assumptions!B41</f>
        <v>-1300000</v>
      </c>
      <c r="C29" s="18" t="n">
        <f aca="false">-Assumptions!C41</f>
        <v>-3400000</v>
      </c>
      <c r="D29" s="18" t="n">
        <f aca="false">-Assumptions!D41</f>
        <v>-5200000</v>
      </c>
      <c r="E29" s="18" t="n">
        <f aca="false">-Assumptions!E41</f>
        <v>-6300000</v>
      </c>
      <c r="F29" s="18" t="n">
        <f aca="false">-Assumptions!F41</f>
        <v>-7400000</v>
      </c>
    </row>
    <row r="30" customFormat="false" ht="15" hidden="false" customHeight="false" outlineLevel="0" collapsed="false">
      <c r="A30" s="4" t="s">
        <v>62</v>
      </c>
      <c r="B30" s="18" t="n">
        <f aca="false">-Assumptions!B42</f>
        <v>-650000</v>
      </c>
      <c r="C30" s="18" t="n">
        <f aca="false">-Assumptions!C42</f>
        <v>-1200000</v>
      </c>
      <c r="D30" s="18" t="n">
        <f aca="false">-Assumptions!D42</f>
        <v>-1900000</v>
      </c>
      <c r="E30" s="18" t="n">
        <f aca="false">-Assumptions!E42</f>
        <v>-2600000</v>
      </c>
      <c r="F30" s="18" t="n">
        <f aca="false">-Assumptions!F42</f>
        <v>-3200000</v>
      </c>
    </row>
    <row r="31" customFormat="false" ht="15" hidden="false" customHeight="false" outlineLevel="0" collapsed="false">
      <c r="A31" s="4" t="s">
        <v>63</v>
      </c>
      <c r="B31" s="16" t="n">
        <f aca="false">SUM(B28:B30)</f>
        <v>-3350000</v>
      </c>
      <c r="C31" s="16" t="n">
        <f aca="false">SUM(C28:C30)</f>
        <v>-7200000</v>
      </c>
      <c r="D31" s="16" t="n">
        <f aca="false">SUM(D28:D30)</f>
        <v>-10900000</v>
      </c>
      <c r="E31" s="16" t="n">
        <f aca="false">SUM(E28:E30)</f>
        <v>-13800000</v>
      </c>
      <c r="F31" s="16" t="n">
        <f aca="false">SUM(F28:F30)</f>
        <v>-16500000</v>
      </c>
    </row>
    <row r="32" customFormat="false" ht="15" hidden="false" customHeight="false" outlineLevel="0" collapsed="false">
      <c r="A32" s="12" t="s">
        <v>64</v>
      </c>
      <c r="B32" s="17" t="n">
        <f aca="false">B27+B31</f>
        <v>-558207.3</v>
      </c>
      <c r="C32" s="17" t="n">
        <f aca="false">C27+C31</f>
        <v>3011364.5</v>
      </c>
      <c r="D32" s="17" t="n">
        <f aca="false">D27+D31</f>
        <v>10454492.625</v>
      </c>
      <c r="E32" s="17" t="n">
        <f aca="false">E27+E31</f>
        <v>16532481.625</v>
      </c>
      <c r="F32" s="17" t="n">
        <f aca="false">F27+F31</f>
        <v>23729794.5</v>
      </c>
    </row>
    <row r="33" customFormat="false" ht="15" hidden="false" customHeight="false" outlineLevel="0" collapsed="false">
      <c r="A33" s="4" t="s">
        <v>65</v>
      </c>
      <c r="B33" s="19" t="n">
        <f aca="false">B32/B25</f>
        <v>-0.169953952884826</v>
      </c>
      <c r="C33" s="19" t="n">
        <f aca="false">C32/C25</f>
        <v>0.250667756008514</v>
      </c>
      <c r="D33" s="19" t="n">
        <f aca="false">D32/D25</f>
        <v>0.416133451976596</v>
      </c>
      <c r="E33" s="19" t="n">
        <f aca="false">E32/E25</f>
        <v>0.46328584502192</v>
      </c>
      <c r="F33" s="19" t="n">
        <f aca="false">F32/F25</f>
        <v>0.501377786679969</v>
      </c>
    </row>
    <row r="34" customFormat="false" ht="15" hidden="false" customHeight="false" outlineLevel="0" collapsed="false">
      <c r="A34" s="4" t="s">
        <v>66</v>
      </c>
      <c r="B34" s="16" t="n">
        <f aca="false">B32</f>
        <v>-558207.3</v>
      </c>
      <c r="C34" s="16" t="n">
        <f aca="false">B34+C32</f>
        <v>2453157.2</v>
      </c>
      <c r="D34" s="16" t="n">
        <f aca="false">C34+D32</f>
        <v>12907649.825</v>
      </c>
      <c r="E34" s="16" t="n">
        <f aca="false">D34+E32</f>
        <v>29440131.45</v>
      </c>
      <c r="F34" s="16" t="n">
        <f aca="false">E34+F32</f>
        <v>53169925.95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8" min="2" style="0" width="13"/>
  </cols>
  <sheetData>
    <row r="1" customFormat="false" ht="17.35" hidden="false" customHeight="false" outlineLevel="0" collapsed="false">
      <c r="A1" s="1" t="s">
        <v>67</v>
      </c>
    </row>
    <row r="3" customFormat="false" ht="15" hidden="false" customHeight="false" outlineLevel="0" collapsed="false">
      <c r="A3" s="3" t="s">
        <v>68</v>
      </c>
      <c r="B3" s="9" t="s">
        <v>69</v>
      </c>
      <c r="C3" s="9" t="s">
        <v>70</v>
      </c>
      <c r="D3" s="9" t="s">
        <v>71</v>
      </c>
      <c r="E3" s="9" t="s">
        <v>72</v>
      </c>
      <c r="F3" s="9" t="s">
        <v>73</v>
      </c>
      <c r="G3" s="9" t="s">
        <v>74</v>
      </c>
      <c r="H3" s="9" t="s">
        <v>75</v>
      </c>
    </row>
    <row r="4" customFormat="false" ht="15" hidden="false" customHeight="false" outlineLevel="0" collapsed="false">
      <c r="A4" s="4" t="s">
        <v>12</v>
      </c>
      <c r="B4" s="18" t="n">
        <f aca="false">Assumptions!$B$5</f>
        <v>102</v>
      </c>
      <c r="C4" s="20" t="n">
        <f aca="false">Assumptions!$B$16</f>
        <v>0.25</v>
      </c>
      <c r="D4" s="21" t="n">
        <f aca="false">1/C4</f>
        <v>4</v>
      </c>
      <c r="E4" s="22" t="n">
        <f aca="false">B4*Assumptions!$B$28*D4</f>
        <v>346.8</v>
      </c>
      <c r="F4" s="18" t="n">
        <f aca="false">Assumptions!$B$22</f>
        <v>35</v>
      </c>
      <c r="G4" s="23" t="n">
        <f aca="false">E4/F4</f>
        <v>9.90857142857143</v>
      </c>
      <c r="H4" s="21" t="n">
        <f aca="false">F4/(B4*Assumptions!$B$28/12)</f>
        <v>4.84429065743945</v>
      </c>
    </row>
    <row r="5" customFormat="false" ht="15" hidden="false" customHeight="false" outlineLevel="0" collapsed="false">
      <c r="A5" s="4" t="s">
        <v>13</v>
      </c>
      <c r="B5" s="18" t="n">
        <f aca="false">Assumptions!$B$6</f>
        <v>588</v>
      </c>
      <c r="C5" s="20" t="n">
        <f aca="false">Assumptions!$B$17</f>
        <v>0.12</v>
      </c>
      <c r="D5" s="21" t="n">
        <f aca="false">1/C5</f>
        <v>8.33333333333333</v>
      </c>
      <c r="E5" s="22" t="n">
        <f aca="false">B5*Assumptions!$B$28*D5</f>
        <v>4165</v>
      </c>
      <c r="F5" s="18" t="n">
        <f aca="false">Assumptions!$B$23</f>
        <v>400</v>
      </c>
      <c r="G5" s="23" t="n">
        <f aca="false">E5/F5</f>
        <v>10.4125</v>
      </c>
      <c r="H5" s="21" t="n">
        <f aca="false">F5/(B5*Assumptions!$B$28/12)</f>
        <v>9.60384153661465</v>
      </c>
    </row>
    <row r="6" customFormat="false" ht="15" hidden="false" customHeight="false" outlineLevel="0" collapsed="false">
      <c r="A6" s="4" t="s">
        <v>14</v>
      </c>
      <c r="B6" s="18" t="n">
        <f aca="false">Assumptions!$B$7</f>
        <v>2388</v>
      </c>
      <c r="C6" s="20" t="n">
        <f aca="false">Assumptions!$B$18</f>
        <v>0.08</v>
      </c>
      <c r="D6" s="21" t="n">
        <f aca="false">1/C6</f>
        <v>12.5</v>
      </c>
      <c r="E6" s="22" t="n">
        <f aca="false">B6*Assumptions!$B$28*D6</f>
        <v>25372.5</v>
      </c>
      <c r="F6" s="18" t="n">
        <f aca="false">Assumptions!$B$24</f>
        <v>1500</v>
      </c>
      <c r="G6" s="23" t="n">
        <f aca="false">E6/F6</f>
        <v>16.915</v>
      </c>
      <c r="H6" s="21" t="n">
        <f aca="false">F6/(B6*Assumptions!$B$28/12)</f>
        <v>8.86786875554242</v>
      </c>
    </row>
    <row r="7" customFormat="false" ht="15" hidden="false" customHeight="false" outlineLevel="0" collapsed="false">
      <c r="A7" s="4" t="s">
        <v>15</v>
      </c>
      <c r="B7" s="18" t="n">
        <f aca="false">Assumptions!$B$8</f>
        <v>11988</v>
      </c>
      <c r="C7" s="20" t="n">
        <f aca="false">Assumptions!$B$19</f>
        <v>0.05</v>
      </c>
      <c r="D7" s="21" t="n">
        <f aca="false">1/C7</f>
        <v>20</v>
      </c>
      <c r="E7" s="22" t="n">
        <f aca="false">B7*Assumptions!$B$28*D7</f>
        <v>203796</v>
      </c>
      <c r="F7" s="18" t="n">
        <f aca="false">Assumptions!$B$25</f>
        <v>6000</v>
      </c>
      <c r="G7" s="23" t="n">
        <f aca="false">E7/F7</f>
        <v>33.966</v>
      </c>
      <c r="H7" s="21" t="n">
        <f aca="false">F7/(B7*Assumptions!$B$28/12)</f>
        <v>7.0658894188306</v>
      </c>
    </row>
    <row r="10" customFormat="false" ht="15" hidden="false" customHeight="false" outlineLevel="0" collapsed="false">
      <c r="A10" s="2" t="s">
        <v>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6" min="2" style="0" width="13"/>
  </cols>
  <sheetData>
    <row r="1" customFormat="false" ht="17.35" hidden="false" customHeight="false" outlineLevel="0" collapsed="false">
      <c r="A1" s="1" t="s">
        <v>77</v>
      </c>
    </row>
    <row r="3" customFormat="false" ht="15" hidden="false" customHeight="false" outlineLevel="0" collapsed="false">
      <c r="A3" s="3"/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</row>
    <row r="4" customFormat="false" ht="15" hidden="false" customHeight="false" outlineLevel="0" collapsed="false">
      <c r="A4" s="4" t="s">
        <v>78</v>
      </c>
      <c r="B4" s="10" t="n">
        <f aca="false">Assumptions!B45</f>
        <v>180000</v>
      </c>
      <c r="C4" s="10" t="n">
        <f aca="false">Assumptions!C45</f>
        <v>600000</v>
      </c>
      <c r="D4" s="10" t="n">
        <f aca="false">Assumptions!D45</f>
        <v>1200000</v>
      </c>
      <c r="E4" s="10" t="n">
        <f aca="false">Assumptions!E45</f>
        <v>1900000</v>
      </c>
      <c r="F4" s="10" t="n">
        <f aca="false">Assumptions!F45</f>
        <v>2600000</v>
      </c>
    </row>
    <row r="5" customFormat="false" ht="15" hidden="false" customHeight="false" outlineLevel="0" collapsed="false">
      <c r="A5" s="4" t="s">
        <v>79</v>
      </c>
      <c r="B5" s="24" t="n">
        <f aca="false">B4*Assumptions!$B$46</f>
        <v>63000</v>
      </c>
      <c r="C5" s="24" t="n">
        <f aca="false">C4*Assumptions!$B$46</f>
        <v>210000</v>
      </c>
      <c r="D5" s="24" t="n">
        <f aca="false">D4*Assumptions!$B$46</f>
        <v>420000</v>
      </c>
      <c r="E5" s="24" t="n">
        <f aca="false">E4*Assumptions!$B$46</f>
        <v>665000</v>
      </c>
      <c r="F5" s="24" t="n">
        <f aca="false">F4*Assumptions!$B$46</f>
        <v>910000</v>
      </c>
    </row>
    <row r="6" customFormat="false" ht="15" hidden="false" customHeight="false" outlineLevel="0" collapsed="false">
      <c r="A6" s="4" t="s">
        <v>80</v>
      </c>
      <c r="B6" s="24" t="n">
        <f aca="false">B5*Assumptions!$B$47</f>
        <v>7560</v>
      </c>
      <c r="C6" s="24" t="n">
        <f aca="false">C5*Assumptions!$B$47</f>
        <v>25200</v>
      </c>
      <c r="D6" s="24" t="n">
        <f aca="false">D5*Assumptions!$B$47</f>
        <v>50400</v>
      </c>
      <c r="E6" s="24" t="n">
        <f aca="false">E5*Assumptions!$B$47</f>
        <v>79800</v>
      </c>
      <c r="F6" s="24" t="n">
        <f aca="false">F5*Assumptions!$B$47</f>
        <v>109200</v>
      </c>
    </row>
    <row r="7" customFormat="false" ht="15" hidden="false" customHeight="false" outlineLevel="0" collapsed="false">
      <c r="A7" s="12" t="s">
        <v>81</v>
      </c>
      <c r="B7" s="25" t="n">
        <f aca="false">B6*Assumptions!$B$48</f>
        <v>2268</v>
      </c>
      <c r="C7" s="25" t="n">
        <f aca="false">C6*Assumptions!$B$48</f>
        <v>7560</v>
      </c>
      <c r="D7" s="25" t="n">
        <f aca="false">D6*Assumptions!$B$48</f>
        <v>15120</v>
      </c>
      <c r="E7" s="25" t="n">
        <f aca="false">E6*Assumptions!$B$48</f>
        <v>23940</v>
      </c>
      <c r="F7" s="25" t="n">
        <f aca="false">F6*Assumptions!$B$48</f>
        <v>32760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5" min="2" style="0" width="15"/>
  </cols>
  <sheetData>
    <row r="1" customFormat="false" ht="17.35" hidden="false" customHeight="false" outlineLevel="0" collapsed="false">
      <c r="A1" s="1" t="s">
        <v>82</v>
      </c>
    </row>
    <row r="2" customFormat="false" ht="15" hidden="false" customHeight="false" outlineLevel="0" collapsed="false">
      <c r="A2" s="2" t="s">
        <v>83</v>
      </c>
    </row>
    <row r="4" customFormat="false" ht="15" hidden="false" customHeight="false" outlineLevel="0" collapsed="false">
      <c r="A4" s="3" t="s">
        <v>84</v>
      </c>
      <c r="B4" s="9" t="s">
        <v>85</v>
      </c>
      <c r="C4" s="9" t="s">
        <v>86</v>
      </c>
      <c r="D4" s="9" t="s">
        <v>87</v>
      </c>
      <c r="E4" s="9" t="s">
        <v>88</v>
      </c>
    </row>
    <row r="5" customFormat="false" ht="15" hidden="false" customHeight="false" outlineLevel="0" collapsed="false">
      <c r="A5" s="4" t="s">
        <v>89</v>
      </c>
      <c r="B5" s="8" t="n">
        <v>0.6</v>
      </c>
      <c r="C5" s="26" t="n">
        <f aca="false">Projections!F11*B5</f>
        <v>115320</v>
      </c>
      <c r="D5" s="22" t="n">
        <f aca="false">Projections!F20*B5</f>
        <v>20340864</v>
      </c>
      <c r="E5" s="22" t="n">
        <f aca="false">Projections!F32*B5</f>
        <v>14237876.7</v>
      </c>
    </row>
    <row r="6" customFormat="false" ht="15" hidden="false" customHeight="false" outlineLevel="0" collapsed="false">
      <c r="A6" s="12" t="s">
        <v>90</v>
      </c>
      <c r="B6" s="8" t="n">
        <v>1</v>
      </c>
      <c r="C6" s="26" t="n">
        <f aca="false">Projections!F11*B6</f>
        <v>192200</v>
      </c>
      <c r="D6" s="22" t="n">
        <f aca="false">Projections!F20*B6</f>
        <v>33901440</v>
      </c>
      <c r="E6" s="22" t="n">
        <f aca="false">Projections!F32*B6</f>
        <v>23729794.5</v>
      </c>
    </row>
    <row r="7" customFormat="false" ht="15" hidden="false" customHeight="false" outlineLevel="0" collapsed="false">
      <c r="A7" s="4" t="s">
        <v>91</v>
      </c>
      <c r="B7" s="8" t="n">
        <v>1.4</v>
      </c>
      <c r="C7" s="26" t="n">
        <f aca="false">Projections!F11*B7</f>
        <v>269080</v>
      </c>
      <c r="D7" s="22" t="n">
        <f aca="false">Projections!F20*B7</f>
        <v>47462016</v>
      </c>
      <c r="E7" s="22" t="n">
        <f aca="false">Projections!F32*B7</f>
        <v>33221712.3</v>
      </c>
    </row>
    <row r="10" customFormat="false" ht="15" hidden="false" customHeight="false" outlineLevel="0" collapsed="false">
      <c r="A10" s="2" t="s">
        <v>92</v>
      </c>
    </row>
    <row r="11" customFormat="false" ht="15" hidden="false" customHeight="false" outlineLevel="0" collapsed="false">
      <c r="A11" s="27" t="s">
        <v>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2026-05-29T11:51:37Z</dcterms:created>
  <dc:creator>openpyxl</dc:creator>
  <dc:description/>
  <dc:language>en-US</dc:language>
  <cp:lastModifiedBy/>
  <dcterms:modified xsi:type="dcterms:W3CDTF">2026-05-29T11:51:38Z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